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port Card\Assess Report Cards\Profile Table\2016\"/>
    </mc:Choice>
  </mc:AlternateContent>
  <bookViews>
    <workbookView xWindow="0" yWindow="0" windowWidth="28800" windowHeight="11835"/>
  </bookViews>
  <sheets>
    <sheet name="RC 2016 District Profiles" sheetId="1" r:id="rId1"/>
  </sheets>
  <calcPr calcId="152511"/>
</workbook>
</file>

<file path=xl/calcChain.xml><?xml version="1.0" encoding="utf-8"?>
<calcChain xmlns="http://schemas.openxmlformats.org/spreadsheetml/2006/main">
  <c r="F58" i="1" l="1"/>
  <c r="D58" i="1" l="1"/>
  <c r="H58" i="1" l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J58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0" i="1"/>
  <c r="I9" i="1"/>
  <c r="I7" i="1"/>
  <c r="I6" i="1"/>
  <c r="I5" i="1"/>
  <c r="I4" i="1"/>
  <c r="N58" i="1" l="1"/>
  <c r="L58" i="1"/>
  <c r="C58" i="1" l="1"/>
</calcChain>
</file>

<file path=xl/sharedStrings.xml><?xml version="1.0" encoding="utf-8"?>
<sst xmlns="http://schemas.openxmlformats.org/spreadsheetml/2006/main" count="71" uniqueCount="71">
  <si>
    <t>General Information</t>
  </si>
  <si>
    <t>Supplemental Program Participation</t>
  </si>
  <si>
    <t>Report Card Specific Data</t>
  </si>
  <si>
    <t>Number of Schools</t>
  </si>
  <si>
    <t># Accredited Schools</t>
  </si>
  <si>
    <t>Alaska Gateway</t>
  </si>
  <si>
    <t>Aleutian Region</t>
  </si>
  <si>
    <t>Aleutians East</t>
  </si>
  <si>
    <t>Anchorage</t>
  </si>
  <si>
    <t>Annette Island</t>
  </si>
  <si>
    <t>Bering Strait</t>
  </si>
  <si>
    <t>Bristol Bay</t>
  </si>
  <si>
    <t>Chatham</t>
  </si>
  <si>
    <t>Chugach</t>
  </si>
  <si>
    <t>Copper River</t>
  </si>
  <si>
    <t>Cordova</t>
  </si>
  <si>
    <t>Craig</t>
  </si>
  <si>
    <t>Delta Greely</t>
  </si>
  <si>
    <t xml:space="preserve">Denali </t>
  </si>
  <si>
    <t>Dillingham</t>
  </si>
  <si>
    <t>Fairbanks</t>
  </si>
  <si>
    <t>Galena</t>
  </si>
  <si>
    <t>Haines</t>
  </si>
  <si>
    <t>Hoonah</t>
  </si>
  <si>
    <t>Hydaburg</t>
  </si>
  <si>
    <t>Iditarod</t>
  </si>
  <si>
    <t>Juneau</t>
  </si>
  <si>
    <t xml:space="preserve">Kake </t>
  </si>
  <si>
    <t>Kashunamiut</t>
  </si>
  <si>
    <t>Kenai Peninsula</t>
  </si>
  <si>
    <t>Ketchikan</t>
  </si>
  <si>
    <t>Klawock</t>
  </si>
  <si>
    <t>Kodiak</t>
  </si>
  <si>
    <t xml:space="preserve">Kuspuk </t>
  </si>
  <si>
    <t xml:space="preserve">Lake &amp; Peninsula </t>
  </si>
  <si>
    <t>Lower Kuskokwim</t>
  </si>
  <si>
    <t>Lower Yukon</t>
  </si>
  <si>
    <t xml:space="preserve">Mat-Su </t>
  </si>
  <si>
    <t>Mt. Edgecumbe</t>
  </si>
  <si>
    <t>Nenana</t>
  </si>
  <si>
    <t>Nome</t>
  </si>
  <si>
    <t>North Slope</t>
  </si>
  <si>
    <t>Northwest Arctic</t>
  </si>
  <si>
    <t>Pelican</t>
  </si>
  <si>
    <t>Petersburg</t>
  </si>
  <si>
    <t>Pribilof</t>
  </si>
  <si>
    <t>Saint Mary's</t>
  </si>
  <si>
    <t>Sitka</t>
  </si>
  <si>
    <t>Skagway</t>
  </si>
  <si>
    <t xml:space="preserve">Southeast Island </t>
  </si>
  <si>
    <t>Southwest Region</t>
  </si>
  <si>
    <t>Tanana</t>
  </si>
  <si>
    <t>Unalaska</t>
  </si>
  <si>
    <t>Valdez</t>
  </si>
  <si>
    <t>Wrangell</t>
  </si>
  <si>
    <t>Yakutat</t>
  </si>
  <si>
    <t>Yukon Flats</t>
  </si>
  <si>
    <t>Yukon-Koyukuk</t>
  </si>
  <si>
    <t>Yupiit</t>
  </si>
  <si>
    <t>Statewide</t>
  </si>
  <si>
    <t>FY16 Audited Expenditures</t>
  </si>
  <si>
    <t>2015-2016 ADM</t>
  </si>
  <si>
    <t>ADM % Change FY15 to FY16</t>
  </si>
  <si>
    <t>PE-12 Special Education % 10/1/15 Enrollment</t>
  </si>
  <si>
    <t>PE-12 Migrant Education % 10/1/15 Enrollment</t>
  </si>
  <si>
    <t>School-Age Low Income % 10/1/15 Enrollment</t>
  </si>
  <si>
    <t>2015-2016 Dropout Count (Grades 7-12)</t>
  </si>
  <si>
    <t>2015-2016 Retention Rate</t>
  </si>
  <si>
    <t>2015-2016 High School Graduate Count</t>
  </si>
  <si>
    <t>n/a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</si>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</sst>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0.0%"/>
    <numFmt numFmtId="166" formatCode="_(&quot;$&quot;* #,##0_);_(&quot;$&quot;* \(#,##0\);_(&quot;$&quot;* &quot;0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23"/>
      <name val="Helv"/>
    </font>
    <font>
      <sz val="10"/>
      <name val="Helv"/>
    </font>
    <font>
      <b/>
      <i/>
      <sz val="10"/>
      <name val="Helv"/>
    </font>
    <font>
      <b/>
      <sz val="10"/>
      <name val="Helv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15"/>
        <bgColor indexed="15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2" borderId="0">
      <protection hidden="1"/>
    </xf>
    <xf numFmtId="1" fontId="8" fillId="3" borderId="0"/>
    <xf numFmtId="0" fontId="8" fillId="4" borderId="0"/>
    <xf numFmtId="0" fontId="8" fillId="5" borderId="0">
      <alignment horizontal="left"/>
    </xf>
    <xf numFmtId="3" fontId="8" fillId="0" borderId="1">
      <alignment horizontal="right"/>
      <protection locked="0"/>
    </xf>
    <xf numFmtId="0" fontId="9" fillId="6" borderId="2">
      <alignment horizontal="left"/>
      <protection locked="0"/>
    </xf>
    <xf numFmtId="3" fontId="8" fillId="0" borderId="3">
      <alignment horizontal="right"/>
    </xf>
    <xf numFmtId="0" fontId="3" fillId="0" borderId="0"/>
    <xf numFmtId="164" fontId="8" fillId="6" borderId="3">
      <alignment horizontal="right"/>
      <protection hidden="1"/>
    </xf>
    <xf numFmtId="3" fontId="8" fillId="0" borderId="1">
      <alignment horizontal="right"/>
      <protection locked="0"/>
    </xf>
    <xf numFmtId="3" fontId="9" fillId="0" borderId="2">
      <alignment horizontal="left"/>
      <protection locked="0"/>
    </xf>
    <xf numFmtId="3" fontId="8" fillId="0" borderId="3">
      <alignment horizontal="right"/>
    </xf>
    <xf numFmtId="164" fontId="8" fillId="6" borderId="1">
      <alignment horizontal="right"/>
      <protection hidden="1"/>
    </xf>
    <xf numFmtId="164" fontId="8" fillId="6" borderId="3">
      <alignment horizontal="right"/>
      <protection hidden="1"/>
    </xf>
    <xf numFmtId="0" fontId="8" fillId="7" borderId="1">
      <protection hidden="1"/>
    </xf>
    <xf numFmtId="0" fontId="8" fillId="7" borderId="4">
      <alignment horizontal="center"/>
      <protection hidden="1"/>
    </xf>
    <xf numFmtId="0" fontId="8" fillId="7" borderId="5">
      <alignment horizontal="left"/>
      <protection hidden="1"/>
    </xf>
    <xf numFmtId="0" fontId="8" fillId="7" borderId="6">
      <alignment horizontal="center"/>
      <protection hidden="1"/>
    </xf>
    <xf numFmtId="0" fontId="8" fillId="7" borderId="6">
      <alignment horizontal="left"/>
      <protection hidden="1"/>
    </xf>
    <xf numFmtId="0" fontId="8" fillId="7" borderId="7">
      <alignment horizontal="center"/>
      <protection hidden="1"/>
    </xf>
    <xf numFmtId="0" fontId="8" fillId="7" borderId="3">
      <alignment horizontal="center"/>
      <protection hidden="1"/>
    </xf>
    <xf numFmtId="0" fontId="8" fillId="7" borderId="8">
      <alignment horizontal="center"/>
      <protection hidden="1"/>
    </xf>
    <xf numFmtId="0" fontId="8" fillId="7" borderId="9">
      <protection hidden="1"/>
    </xf>
    <xf numFmtId="0" fontId="8" fillId="7" borderId="10">
      <alignment horizontal="center"/>
      <protection hidden="1"/>
    </xf>
    <xf numFmtId="0" fontId="8" fillId="7" borderId="11">
      <alignment horizontal="center"/>
      <protection hidden="1"/>
    </xf>
    <xf numFmtId="0" fontId="8" fillId="7" borderId="12">
      <alignment horizontal="center"/>
      <protection hidden="1"/>
    </xf>
    <xf numFmtId="0" fontId="8" fillId="7" borderId="13">
      <alignment horizontal="center"/>
      <protection hidden="1"/>
    </xf>
    <xf numFmtId="0" fontId="8" fillId="7" borderId="14">
      <protection hidden="1"/>
    </xf>
    <xf numFmtId="0" fontId="8" fillId="7" borderId="15">
      <alignment horizontal="center"/>
      <protection hidden="1"/>
    </xf>
    <xf numFmtId="0" fontId="8" fillId="7" borderId="16">
      <alignment horizontal="center"/>
      <protection hidden="1"/>
    </xf>
    <xf numFmtId="0" fontId="10" fillId="0" borderId="0">
      <alignment horizontal="center"/>
      <protection hidden="1"/>
    </xf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14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8" fillId="0" borderId="0"/>
    <xf numFmtId="0" fontId="5" fillId="0" borderId="0"/>
  </cellStyleXfs>
  <cellXfs count="58">
    <xf numFmtId="0" fontId="0" fillId="0" borderId="0" xfId="0"/>
    <xf numFmtId="0" fontId="12" fillId="0" borderId="0" xfId="0" applyFont="1"/>
    <xf numFmtId="0" fontId="4" fillId="11" borderId="1" xfId="39" applyFont="1" applyFill="1" applyBorder="1" applyAlignment="1"/>
    <xf numFmtId="0" fontId="6" fillId="8" borderId="12" xfId="39" applyFont="1" applyFill="1" applyBorder="1"/>
    <xf numFmtId="0" fontId="6" fillId="0" borderId="0" xfId="39" applyFont="1" applyFill="1"/>
    <xf numFmtId="0" fontId="4" fillId="8" borderId="0" xfId="39" applyFont="1" applyFill="1" applyBorder="1" applyAlignment="1">
      <alignment horizontal="left"/>
    </xf>
    <xf numFmtId="0" fontId="6" fillId="0" borderId="0" xfId="39" applyFont="1"/>
    <xf numFmtId="0" fontId="11" fillId="8" borderId="0" xfId="39" applyFont="1" applyFill="1" applyAlignment="1">
      <alignment horizontal="center" vertical="center"/>
    </xf>
    <xf numFmtId="0" fontId="6" fillId="9" borderId="12" xfId="39" applyFont="1" applyFill="1" applyBorder="1" applyAlignment="1">
      <alignment horizontal="center" textRotation="75"/>
    </xf>
    <xf numFmtId="41" fontId="4" fillId="8" borderId="0" xfId="39" applyNumberFormat="1" applyFont="1" applyFill="1" applyBorder="1" applyAlignment="1">
      <alignment horizontal="center" vertical="center"/>
    </xf>
    <xf numFmtId="0" fontId="4" fillId="8" borderId="0" xfId="39" applyFont="1" applyFill="1" applyAlignment="1">
      <alignment horizontal="center" vertical="center"/>
    </xf>
    <xf numFmtId="39" fontId="13" fillId="0" borderId="1" xfId="45" applyNumberFormat="1" applyFont="1" applyBorder="1"/>
    <xf numFmtId="165" fontId="13" fillId="10" borderId="1" xfId="1" applyNumberFormat="1" applyFont="1" applyFill="1" applyBorder="1"/>
    <xf numFmtId="0" fontId="6" fillId="0" borderId="9" xfId="39" applyFont="1" applyFill="1" applyBorder="1" applyAlignment="1"/>
    <xf numFmtId="0" fontId="6" fillId="0" borderId="9" xfId="39" applyFont="1" applyBorder="1" applyAlignment="1"/>
    <xf numFmtId="0" fontId="6" fillId="0" borderId="9" xfId="39" applyFont="1" applyBorder="1"/>
    <xf numFmtId="0" fontId="4" fillId="11" borderId="9" xfId="39" applyFont="1" applyFill="1" applyBorder="1" applyAlignment="1"/>
    <xf numFmtId="0" fontId="15" fillId="10" borderId="1" xfId="41" applyFont="1" applyFill="1" applyBorder="1" applyAlignment="1">
      <alignment horizontal="right" wrapText="1"/>
    </xf>
    <xf numFmtId="3" fontId="4" fillId="11" borderId="1" xfId="39" applyNumberFormat="1" applyFont="1" applyFill="1" applyBorder="1" applyAlignment="1"/>
    <xf numFmtId="0" fontId="2" fillId="8" borderId="7" xfId="39" applyFont="1" applyFill="1" applyBorder="1" applyAlignment="1">
      <alignment horizontal="center" textRotation="75"/>
    </xf>
    <xf numFmtId="3" fontId="0" fillId="0" borderId="0" xfId="0" applyNumberFormat="1"/>
    <xf numFmtId="0" fontId="2" fillId="8" borderId="12" xfId="39" applyFont="1" applyFill="1" applyBorder="1" applyAlignment="1">
      <alignment horizontal="center" textRotation="75"/>
    </xf>
    <xf numFmtId="3" fontId="2" fillId="8" borderId="1" xfId="39" applyNumberFormat="1" applyFont="1" applyFill="1" applyBorder="1" applyAlignment="1"/>
    <xf numFmtId="0" fontId="16" fillId="8" borderId="0" xfId="39" applyFont="1" applyFill="1" applyBorder="1" applyAlignment="1">
      <alignment horizontal="center" vertical="center"/>
    </xf>
    <xf numFmtId="0" fontId="16" fillId="8" borderId="0" xfId="39" applyFont="1" applyFill="1" applyAlignment="1">
      <alignment horizontal="center" vertical="center"/>
    </xf>
    <xf numFmtId="39" fontId="0" fillId="0" borderId="0" xfId="0" applyNumberFormat="1"/>
    <xf numFmtId="4" fontId="2" fillId="8" borderId="12" xfId="39" applyNumberFormat="1" applyFont="1" applyFill="1" applyBorder="1" applyAlignment="1">
      <alignment horizontal="center" textRotation="75"/>
    </xf>
    <xf numFmtId="0" fontId="2" fillId="9" borderId="12" xfId="39" applyFont="1" applyFill="1" applyBorder="1" applyAlignment="1">
      <alignment horizontal="center" textRotation="75"/>
    </xf>
    <xf numFmtId="0" fontId="2" fillId="9" borderId="11" xfId="39" applyFont="1" applyFill="1" applyBorder="1" applyAlignment="1">
      <alignment horizontal="center" textRotation="75"/>
    </xf>
    <xf numFmtId="165" fontId="2" fillId="8" borderId="11" xfId="39" applyNumberFormat="1" applyFont="1" applyFill="1" applyBorder="1" applyAlignment="1">
      <alignment horizontal="center" textRotation="75"/>
    </xf>
    <xf numFmtId="3" fontId="16" fillId="8" borderId="0" xfId="39" applyNumberFormat="1" applyFont="1" applyFill="1" applyAlignment="1">
      <alignment horizontal="center" vertical="center"/>
    </xf>
    <xf numFmtId="3" fontId="11" fillId="8" borderId="0" xfId="39" applyNumberFormat="1" applyFont="1" applyFill="1" applyAlignment="1">
      <alignment horizontal="center" vertical="center"/>
    </xf>
    <xf numFmtId="3" fontId="2" fillId="9" borderId="7" xfId="39" applyNumberFormat="1" applyFont="1" applyFill="1" applyBorder="1" applyAlignment="1">
      <alignment horizontal="center" textRotation="75"/>
    </xf>
    <xf numFmtId="3" fontId="2" fillId="10" borderId="1" xfId="10" applyNumberFormat="1" applyFont="1" applyFill="1" applyBorder="1"/>
    <xf numFmtId="3" fontId="2" fillId="9" borderId="11" xfId="39" applyNumberFormat="1" applyFont="1" applyFill="1" applyBorder="1" applyAlignment="1">
      <alignment horizontal="center" textRotation="75"/>
    </xf>
    <xf numFmtId="165" fontId="4" fillId="11" borderId="1" xfId="39" applyNumberFormat="1" applyFont="1" applyFill="1" applyBorder="1" applyAlignment="1"/>
    <xf numFmtId="165" fontId="5" fillId="0" borderId="1" xfId="46" applyNumberFormat="1" applyFont="1" applyFill="1" applyBorder="1" applyAlignment="1">
      <alignment horizontal="right"/>
    </xf>
    <xf numFmtId="165" fontId="13" fillId="10" borderId="1" xfId="45" applyNumberFormat="1" applyFont="1" applyFill="1" applyBorder="1"/>
    <xf numFmtId="165" fontId="5" fillId="0" borderId="1" xfId="40" applyNumberFormat="1" applyFont="1" applyFill="1" applyBorder="1" applyAlignment="1">
      <alignment horizontal="right"/>
    </xf>
    <xf numFmtId="39" fontId="16" fillId="11" borderId="1" xfId="45" applyNumberFormat="1" applyFont="1" applyFill="1" applyBorder="1"/>
    <xf numFmtId="165" fontId="16" fillId="11" borderId="1" xfId="1" applyNumberFormat="1" applyFont="1" applyFill="1" applyBorder="1"/>
    <xf numFmtId="3" fontId="4" fillId="11" borderId="1" xfId="10" applyNumberFormat="1" applyFont="1" applyFill="1" applyBorder="1"/>
    <xf numFmtId="1" fontId="4" fillId="8" borderId="0" xfId="39" applyNumberFormat="1" applyFont="1" applyFill="1" applyAlignment="1">
      <alignment horizontal="center" vertical="center"/>
    </xf>
    <xf numFmtId="1" fontId="2" fillId="8" borderId="5" xfId="39" applyNumberFormat="1" applyFont="1" applyFill="1" applyBorder="1" applyAlignment="1">
      <alignment horizontal="center" textRotation="75"/>
    </xf>
    <xf numFmtId="1" fontId="4" fillId="8" borderId="5" xfId="10" applyNumberFormat="1" applyFont="1" applyFill="1" applyBorder="1"/>
    <xf numFmtId="1" fontId="12" fillId="0" borderId="0" xfId="0" applyNumberFormat="1" applyFont="1"/>
    <xf numFmtId="0" fontId="15" fillId="0" borderId="17" xfId="48" applyFont="1" applyFill="1" applyBorder="1" applyAlignment="1">
      <alignment horizontal="right" wrapText="1"/>
    </xf>
    <xf numFmtId="41" fontId="2" fillId="10" borderId="12" xfId="39" applyNumberFormat="1" applyFont="1" applyFill="1" applyBorder="1" applyAlignment="1">
      <alignment horizontal="center" textRotation="75"/>
    </xf>
    <xf numFmtId="0" fontId="11" fillId="8" borderId="0" xfId="39" applyFont="1" applyFill="1" applyAlignment="1">
      <alignment horizontal="right" vertical="center"/>
    </xf>
    <xf numFmtId="3" fontId="2" fillId="10" borderId="4" xfId="47" applyNumberFormat="1" applyFont="1" applyFill="1" applyBorder="1" applyAlignment="1">
      <alignment horizontal="right"/>
    </xf>
    <xf numFmtId="166" fontId="4" fillId="11" borderId="9" xfId="39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7" fontId="4" fillId="10" borderId="4" xfId="39" applyNumberFormat="1" applyFont="1" applyFill="1" applyBorder="1" applyAlignment="1">
      <alignment horizontal="right"/>
    </xf>
    <xf numFmtId="165" fontId="2" fillId="0" borderId="11" xfId="39" applyNumberFormat="1" applyFont="1" applyFill="1" applyBorder="1" applyAlignment="1">
      <alignment horizontal="center" textRotation="75"/>
    </xf>
    <xf numFmtId="165" fontId="4" fillId="11" borderId="1" xfId="10" applyNumberFormat="1" applyFont="1" applyFill="1" applyBorder="1" applyAlignment="1">
      <alignment horizontal="center"/>
    </xf>
    <xf numFmtId="10" fontId="0" fillId="0" borderId="0" xfId="0" applyNumberFormat="1"/>
    <xf numFmtId="165" fontId="2" fillId="0" borderId="1" xfId="10" applyNumberFormat="1" applyFont="1" applyFill="1" applyBorder="1" applyAlignment="1">
      <alignment horizontal="center"/>
    </xf>
  </cellXfs>
  <cellStyles count="49">
    <cellStyle name="Comma" xfId="45" builtinId="3"/>
    <cellStyle name="Comma 2" xfId="36"/>
    <cellStyle name="filler" xfId="3"/>
    <cellStyle name="filler aqua" xfId="4"/>
    <cellStyle name="filler dk blue" xfId="5"/>
    <cellStyle name="filler lgt blue" xfId="6"/>
    <cellStyle name="general w comma" xfId="7"/>
    <cellStyle name="general w comma edit" xfId="8"/>
    <cellStyle name="general w comma total" xfId="9"/>
    <cellStyle name="Normal" xfId="0" builtinId="0"/>
    <cellStyle name="Normal 2" xfId="35"/>
    <cellStyle name="Normal 2 2" xfId="39"/>
    <cellStyle name="Normal 3" xfId="38"/>
    <cellStyle name="Normal 4" xfId="2"/>
    <cellStyle name="Normal 4 2" xfId="44"/>
    <cellStyle name="Normal 5" xfId="42"/>
    <cellStyle name="Normal 6" xfId="47"/>
    <cellStyle name="Normal_RC 2011 District Profiles" xfId="40"/>
    <cellStyle name="Normal_RC 2011 District Profiles_1" xfId="41"/>
    <cellStyle name="Normal_RC 2011 District Profiles_2" xfId="46"/>
    <cellStyle name="Normal_Sheet1_1" xfId="10"/>
    <cellStyle name="Normal_Sheet2" xfId="48"/>
    <cellStyle name="Percent" xfId="1" builtinId="5"/>
    <cellStyle name="Percent 2" xfId="37"/>
    <cellStyle name="Percent 3" xfId="34"/>
    <cellStyle name="Percent 4" xfId="43"/>
    <cellStyle name="Percent total" xfId="11"/>
    <cellStyle name="promoted numbers" xfId="12"/>
    <cellStyle name="promoted numbers edit" xfId="13"/>
    <cellStyle name="promoted numbers totals" xfId="14"/>
    <cellStyle name="promoted percent" xfId="15"/>
    <cellStyle name="promoted percent total" xfId="16"/>
    <cellStyle name="shade all border" xfId="17"/>
    <cellStyle name="shade B" xfId="18"/>
    <cellStyle name="shade L align left" xfId="19"/>
    <cellStyle name="shade LB" xfId="20"/>
    <cellStyle name="shade LB align left" xfId="21"/>
    <cellStyle name="shade LBR" xfId="22"/>
    <cellStyle name="shade LR" xfId="23"/>
    <cellStyle name="shade LT" xfId="24"/>
    <cellStyle name="shade LTB" xfId="25"/>
    <cellStyle name="shade LTR" xfId="26"/>
    <cellStyle name="shade R" xfId="27"/>
    <cellStyle name="shade RB" xfId="28"/>
    <cellStyle name="shade RT" xfId="29"/>
    <cellStyle name="shade RTB" xfId="30"/>
    <cellStyle name="shade TB" xfId="31"/>
    <cellStyle name="shadeT" xfId="32"/>
    <cellStyle name="white space" xfId="3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topLeftCell="B1" zoomScale="110" zoomScaleNormal="110" workbookViewId="0">
      <pane xSplit="1" topLeftCell="C1" activePane="topRight" state="frozen"/>
      <selection activeCell="B1" sqref="B1"/>
      <selection pane="topRight" activeCell="B3" sqref="B3"/>
    </sheetView>
  </sheetViews>
  <sheetFormatPr defaultRowHeight="15" x14ac:dyDescent="0.25"/>
  <cols>
    <col min="1" max="1" width="0" style="1" hidden="1" customWidth="1"/>
    <col min="2" max="2" width="16.28515625" style="1" bestFit="1" customWidth="1"/>
    <col min="3" max="3" width="9.140625" style="1" customWidth="1"/>
    <col min="4" max="4" width="9.140625" customWidth="1"/>
    <col min="5" max="5" width="21.140625" style="52" customWidth="1"/>
    <col min="6" max="6" width="10.7109375" customWidth="1"/>
    <col min="7" max="10" width="9.140625" customWidth="1"/>
    <col min="11" max="11" width="9.140625" style="45" customWidth="1"/>
    <col min="12" max="12" width="9.140625" style="20" customWidth="1"/>
    <col min="13" max="13" width="9.140625" customWidth="1"/>
    <col min="14" max="14" width="9.140625" style="20" customWidth="1"/>
  </cols>
  <sheetData>
    <row r="1" spans="1:18" x14ac:dyDescent="0.25">
      <c r="A1" s="4"/>
      <c r="B1" s="5"/>
      <c r="C1" s="9" t="s">
        <v>0</v>
      </c>
      <c r="D1" s="7"/>
      <c r="E1" s="48"/>
      <c r="F1" s="7"/>
      <c r="G1" s="7"/>
      <c r="H1" s="23"/>
      <c r="I1" s="24" t="s">
        <v>1</v>
      </c>
      <c r="J1" s="24"/>
      <c r="K1" s="42"/>
      <c r="L1" s="30"/>
      <c r="M1" s="24" t="s">
        <v>2</v>
      </c>
      <c r="N1" s="30"/>
    </row>
    <row r="2" spans="1:18" x14ac:dyDescent="0.25">
      <c r="A2" s="4"/>
      <c r="B2" s="5"/>
      <c r="C2" s="10"/>
      <c r="D2" s="7"/>
      <c r="E2" s="48"/>
      <c r="F2" s="7"/>
      <c r="G2" s="7"/>
      <c r="H2" s="7"/>
      <c r="I2" s="7"/>
      <c r="J2" s="7"/>
      <c r="K2" s="42"/>
      <c r="L2" s="31"/>
      <c r="M2" s="7"/>
      <c r="N2" s="31"/>
    </row>
    <row r="3" spans="1:18" ht="205.5" x14ac:dyDescent="0.25">
      <c r="A3" s="6"/>
      <c r="B3" s="3"/>
      <c r="C3" s="8" t="s">
        <v>3</v>
      </c>
      <c r="D3" s="21" t="s">
        <v>4</v>
      </c>
      <c r="E3" s="47" t="s">
        <v>60</v>
      </c>
      <c r="F3" s="26" t="s">
        <v>61</v>
      </c>
      <c r="G3" s="27" t="s">
        <v>62</v>
      </c>
      <c r="H3" s="29" t="s">
        <v>63</v>
      </c>
      <c r="I3" s="28" t="s">
        <v>64</v>
      </c>
      <c r="J3" s="19" t="s">
        <v>65</v>
      </c>
      <c r="K3" s="43"/>
      <c r="L3" s="32" t="s">
        <v>66</v>
      </c>
      <c r="M3" s="54" t="s">
        <v>67</v>
      </c>
      <c r="N3" s="34" t="s">
        <v>68</v>
      </c>
    </row>
    <row r="4" spans="1:18" x14ac:dyDescent="0.25">
      <c r="A4" s="6">
        <v>3</v>
      </c>
      <c r="B4" s="13" t="s">
        <v>5</v>
      </c>
      <c r="C4" s="17">
        <v>8</v>
      </c>
      <c r="D4" s="22">
        <v>2</v>
      </c>
      <c r="E4" s="49">
        <v>9512355</v>
      </c>
      <c r="F4" s="11">
        <v>370.3</v>
      </c>
      <c r="G4" s="12">
        <v>-8.0000000000000002E-3</v>
      </c>
      <c r="H4" s="36">
        <f>53/(53+363)</f>
        <v>0.12740384615384615</v>
      </c>
      <c r="I4" s="37">
        <f>139/(139+277)</f>
        <v>0.33413461538461536</v>
      </c>
      <c r="J4" s="38">
        <v>0.89230769230769236</v>
      </c>
      <c r="K4" s="46"/>
      <c r="L4" s="33">
        <v>10</v>
      </c>
      <c r="M4" s="57">
        <v>0</v>
      </c>
      <c r="N4" s="33">
        <v>16</v>
      </c>
      <c r="R4" s="56"/>
    </row>
    <row r="5" spans="1:18" x14ac:dyDescent="0.25">
      <c r="A5" s="6">
        <v>4</v>
      </c>
      <c r="B5" s="13" t="s">
        <v>6</v>
      </c>
      <c r="C5" s="17">
        <v>2</v>
      </c>
      <c r="D5" s="22">
        <v>0</v>
      </c>
      <c r="E5" s="49">
        <v>1697736</v>
      </c>
      <c r="F5" s="11">
        <v>34.700000000000003</v>
      </c>
      <c r="G5" s="12">
        <v>-6.2E-2</v>
      </c>
      <c r="H5" s="36">
        <f>7/35</f>
        <v>0.2</v>
      </c>
      <c r="I5" s="37">
        <f>2/35</f>
        <v>5.7142857142857141E-2</v>
      </c>
      <c r="J5" s="38">
        <v>0.90322580645161288</v>
      </c>
      <c r="K5" s="46"/>
      <c r="L5" s="33">
        <v>0</v>
      </c>
      <c r="M5" s="57">
        <v>0</v>
      </c>
      <c r="N5" s="33">
        <v>2</v>
      </c>
      <c r="R5" s="56"/>
    </row>
    <row r="6" spans="1:18" x14ac:dyDescent="0.25">
      <c r="A6" s="6">
        <v>56</v>
      </c>
      <c r="B6" s="13" t="s">
        <v>7</v>
      </c>
      <c r="C6" s="17">
        <v>4</v>
      </c>
      <c r="D6" s="22">
        <v>0</v>
      </c>
      <c r="E6" s="49">
        <v>8195544</v>
      </c>
      <c r="F6" s="11">
        <v>220.9</v>
      </c>
      <c r="G6" s="12">
        <v>1.0999999999999999E-2</v>
      </c>
      <c r="H6" s="36">
        <f>45/(45+197)</f>
        <v>0.18595041322314049</v>
      </c>
      <c r="I6" s="37">
        <f>71/(71+171)</f>
        <v>0.29338842975206614</v>
      </c>
      <c r="J6" s="38">
        <v>0.38693467336683418</v>
      </c>
      <c r="K6" s="46"/>
      <c r="L6" s="33">
        <v>1</v>
      </c>
      <c r="M6" s="57">
        <v>0</v>
      </c>
      <c r="N6" s="33">
        <v>12</v>
      </c>
      <c r="R6" s="56"/>
    </row>
    <row r="7" spans="1:18" x14ac:dyDescent="0.25">
      <c r="A7" s="6">
        <v>5</v>
      </c>
      <c r="B7" s="13" t="s">
        <v>8</v>
      </c>
      <c r="C7" s="17">
        <v>98</v>
      </c>
      <c r="D7" s="22">
        <v>18</v>
      </c>
      <c r="E7" s="49">
        <v>604931733</v>
      </c>
      <c r="F7" s="11">
        <v>47756.28</v>
      </c>
      <c r="G7" s="12">
        <v>4.0000000000000001E-3</v>
      </c>
      <c r="H7" s="36">
        <f>6836/(6836+41534)</f>
        <v>0.14132726896836884</v>
      </c>
      <c r="I7" s="37">
        <f>3736/(3736+44634)</f>
        <v>7.7237957411618777E-2</v>
      </c>
      <c r="J7" s="38">
        <v>0.45538670900430939</v>
      </c>
      <c r="K7" s="46"/>
      <c r="L7" s="33">
        <v>698</v>
      </c>
      <c r="M7" s="57">
        <v>4.0000000000000001E-3</v>
      </c>
      <c r="N7" s="33">
        <v>2989</v>
      </c>
      <c r="R7" s="56"/>
    </row>
    <row r="8" spans="1:18" x14ac:dyDescent="0.25">
      <c r="A8" s="6">
        <v>6</v>
      </c>
      <c r="B8" s="13" t="s">
        <v>9</v>
      </c>
      <c r="C8" s="17">
        <v>3</v>
      </c>
      <c r="D8" s="22">
        <v>2</v>
      </c>
      <c r="E8" s="49">
        <v>6538898</v>
      </c>
      <c r="F8" s="11">
        <v>300.8</v>
      </c>
      <c r="G8" s="12">
        <v>-0.158</v>
      </c>
      <c r="H8" s="36">
        <f>53/(53+284)</f>
        <v>0.15727002967359049</v>
      </c>
      <c r="I8" s="37">
        <v>0</v>
      </c>
      <c r="J8" s="38">
        <v>1</v>
      </c>
      <c r="K8" s="46"/>
      <c r="L8" s="33">
        <v>1</v>
      </c>
      <c r="M8" s="57">
        <v>5.0000000000000001E-3</v>
      </c>
      <c r="N8" s="33">
        <v>19</v>
      </c>
      <c r="R8" s="56"/>
    </row>
    <row r="9" spans="1:18" x14ac:dyDescent="0.25">
      <c r="A9" s="6">
        <v>7</v>
      </c>
      <c r="B9" s="13" t="s">
        <v>10</v>
      </c>
      <c r="C9" s="17">
        <v>15</v>
      </c>
      <c r="D9" s="22">
        <v>0</v>
      </c>
      <c r="E9" s="49">
        <v>53592949</v>
      </c>
      <c r="F9" s="11">
        <v>1695.1</v>
      </c>
      <c r="G9" s="12">
        <v>2.3E-2</v>
      </c>
      <c r="H9" s="36">
        <f>167/(167+1730)</f>
        <v>8.8033737480231938E-2</v>
      </c>
      <c r="I9" s="37">
        <f>279/(279+1618)</f>
        <v>0.147074327886136</v>
      </c>
      <c r="J9" s="38">
        <v>1</v>
      </c>
      <c r="K9" s="46"/>
      <c r="L9" s="33">
        <v>13</v>
      </c>
      <c r="M9" s="57">
        <v>8.0000000000000002E-3</v>
      </c>
      <c r="N9" s="33">
        <v>98</v>
      </c>
      <c r="R9" s="56"/>
    </row>
    <row r="10" spans="1:18" x14ac:dyDescent="0.25">
      <c r="A10" s="6">
        <v>8</v>
      </c>
      <c r="B10" s="13" t="s">
        <v>11</v>
      </c>
      <c r="C10" s="17">
        <v>3</v>
      </c>
      <c r="D10" s="22">
        <v>0</v>
      </c>
      <c r="E10" s="49">
        <v>3605559</v>
      </c>
      <c r="F10" s="11">
        <v>121.4</v>
      </c>
      <c r="G10" s="12">
        <v>-1.2999999999999999E-2</v>
      </c>
      <c r="H10" s="36">
        <f>8/133</f>
        <v>6.0150375939849621E-2</v>
      </c>
      <c r="I10" s="37">
        <f>45/(45+88)</f>
        <v>0.33834586466165412</v>
      </c>
      <c r="J10" s="38">
        <v>0.59829059829059827</v>
      </c>
      <c r="K10" s="46"/>
      <c r="L10" s="33">
        <v>0</v>
      </c>
      <c r="M10" s="57">
        <v>1.6E-2</v>
      </c>
      <c r="N10" s="33">
        <v>9</v>
      </c>
      <c r="R10" s="56"/>
    </row>
    <row r="11" spans="1:18" x14ac:dyDescent="0.25">
      <c r="A11" s="6">
        <v>9</v>
      </c>
      <c r="B11" s="13" t="s">
        <v>12</v>
      </c>
      <c r="C11" s="17">
        <v>5</v>
      </c>
      <c r="D11" s="22">
        <v>0</v>
      </c>
      <c r="E11" s="49">
        <v>4306103</v>
      </c>
      <c r="F11" s="11">
        <v>166.15</v>
      </c>
      <c r="G11" s="12">
        <v>-1.7999999999999999E-2</v>
      </c>
      <c r="H11" s="36">
        <f>32/(32+141)</f>
        <v>0.18497109826589594</v>
      </c>
      <c r="I11" s="37">
        <v>0</v>
      </c>
      <c r="J11" s="38">
        <v>0.50322580645161286</v>
      </c>
      <c r="K11" s="46"/>
      <c r="L11" s="33">
        <v>0</v>
      </c>
      <c r="M11" s="57">
        <v>8.9999999999999993E-3</v>
      </c>
      <c r="N11" s="33">
        <v>10</v>
      </c>
      <c r="R11" s="56"/>
    </row>
    <row r="12" spans="1:18" x14ac:dyDescent="0.25">
      <c r="A12" s="6">
        <v>10</v>
      </c>
      <c r="B12" s="13" t="s">
        <v>13</v>
      </c>
      <c r="C12" s="17">
        <v>4</v>
      </c>
      <c r="D12" s="22">
        <v>0</v>
      </c>
      <c r="E12" s="49">
        <v>3567409</v>
      </c>
      <c r="F12" s="11">
        <v>337.09</v>
      </c>
      <c r="G12" s="12">
        <v>0.22</v>
      </c>
      <c r="H12" s="36">
        <f>20/363</f>
        <v>5.5096418732782371E-2</v>
      </c>
      <c r="I12" s="37">
        <f>3/363</f>
        <v>8.2644628099173556E-3</v>
      </c>
      <c r="J12" s="38">
        <v>0.49044585987261147</v>
      </c>
      <c r="K12" s="46"/>
      <c r="L12" s="33">
        <v>5</v>
      </c>
      <c r="M12" s="57">
        <v>0</v>
      </c>
      <c r="N12" s="33">
        <v>21</v>
      </c>
      <c r="R12" s="56"/>
    </row>
    <row r="13" spans="1:18" x14ac:dyDescent="0.25">
      <c r="A13" s="6">
        <v>11</v>
      </c>
      <c r="B13" s="13" t="s">
        <v>14</v>
      </c>
      <c r="C13" s="17">
        <v>5</v>
      </c>
      <c r="D13" s="22">
        <v>3</v>
      </c>
      <c r="E13" s="49">
        <v>6546552</v>
      </c>
      <c r="F13" s="11">
        <v>418.3</v>
      </c>
      <c r="G13" s="12">
        <v>-4.3999999999999997E-2</v>
      </c>
      <c r="H13" s="36">
        <f>59/(59+371)</f>
        <v>0.1372093023255814</v>
      </c>
      <c r="I13" s="37">
        <f>1/430</f>
        <v>2.3255813953488372E-3</v>
      </c>
      <c r="J13" s="38">
        <v>0.43069306930693069</v>
      </c>
      <c r="K13" s="46"/>
      <c r="L13" s="33">
        <v>8</v>
      </c>
      <c r="M13" s="57">
        <v>4.2000000000000003E-2</v>
      </c>
      <c r="N13" s="33">
        <v>21</v>
      </c>
      <c r="R13" s="56"/>
    </row>
    <row r="14" spans="1:18" x14ac:dyDescent="0.25">
      <c r="A14" s="6">
        <v>12</v>
      </c>
      <c r="B14" s="13" t="s">
        <v>15</v>
      </c>
      <c r="C14" s="17">
        <v>3</v>
      </c>
      <c r="D14" s="22">
        <v>1</v>
      </c>
      <c r="E14" s="49">
        <v>5707456</v>
      </c>
      <c r="F14" s="11">
        <v>353.35</v>
      </c>
      <c r="G14" s="12">
        <v>8.1000000000000003E-2</v>
      </c>
      <c r="H14" s="36">
        <f>50/370</f>
        <v>0.13513513513513514</v>
      </c>
      <c r="I14" s="37">
        <f>98/(98+272)</f>
        <v>0.26486486486486488</v>
      </c>
      <c r="J14" s="38">
        <v>0.62426035502958577</v>
      </c>
      <c r="K14" s="46"/>
      <c r="L14" s="33">
        <v>3</v>
      </c>
      <c r="M14" s="57">
        <v>0</v>
      </c>
      <c r="N14" s="33">
        <v>33</v>
      </c>
      <c r="R14" s="56"/>
    </row>
    <row r="15" spans="1:18" x14ac:dyDescent="0.25">
      <c r="A15" s="6">
        <v>13</v>
      </c>
      <c r="B15" s="13" t="s">
        <v>16</v>
      </c>
      <c r="C15" s="17">
        <v>4</v>
      </c>
      <c r="D15" s="22">
        <v>1</v>
      </c>
      <c r="E15" s="49">
        <v>6744587</v>
      </c>
      <c r="F15" s="11">
        <v>518.11</v>
      </c>
      <c r="G15" s="12">
        <v>-8.2000000000000003E-2</v>
      </c>
      <c r="H15" s="36">
        <f>60/(60+467)</f>
        <v>0.11385199240986717</v>
      </c>
      <c r="I15" s="37">
        <f>62/(62+465)</f>
        <v>0.11764705882352941</v>
      </c>
      <c r="J15" s="38">
        <v>0.36437246963562753</v>
      </c>
      <c r="K15" s="46"/>
      <c r="L15" s="33">
        <v>5</v>
      </c>
      <c r="M15" s="57">
        <v>3.0000000000000001E-3</v>
      </c>
      <c r="N15" s="33">
        <v>25</v>
      </c>
      <c r="R15" s="56"/>
    </row>
    <row r="16" spans="1:18" x14ac:dyDescent="0.25">
      <c r="A16" s="6">
        <v>14</v>
      </c>
      <c r="B16" s="13" t="s">
        <v>17</v>
      </c>
      <c r="C16" s="17">
        <v>5</v>
      </c>
      <c r="D16" s="22">
        <v>3</v>
      </c>
      <c r="E16" s="49">
        <v>10800395</v>
      </c>
      <c r="F16" s="11">
        <v>773.45</v>
      </c>
      <c r="G16" s="12">
        <v>-4.1000000000000002E-2</v>
      </c>
      <c r="H16" s="36">
        <f>74/(74+716)</f>
        <v>9.3670886075949367E-2</v>
      </c>
      <c r="I16" s="37">
        <f>1/790</f>
        <v>1.2658227848101266E-3</v>
      </c>
      <c r="J16" s="38">
        <v>0.40642458100558659</v>
      </c>
      <c r="K16" s="46"/>
      <c r="L16" s="33">
        <v>6</v>
      </c>
      <c r="M16" s="57">
        <v>8.0000000000000002E-3</v>
      </c>
      <c r="N16" s="33">
        <v>47</v>
      </c>
      <c r="R16" s="56"/>
    </row>
    <row r="17" spans="1:18" x14ac:dyDescent="0.25">
      <c r="A17" s="6">
        <v>2</v>
      </c>
      <c r="B17" s="14" t="s">
        <v>18</v>
      </c>
      <c r="C17" s="17">
        <v>4</v>
      </c>
      <c r="D17" s="22">
        <v>3</v>
      </c>
      <c r="E17" s="49">
        <v>9105946</v>
      </c>
      <c r="F17" s="11">
        <v>900.31</v>
      </c>
      <c r="G17" s="12">
        <v>1.2E-2</v>
      </c>
      <c r="H17" s="36">
        <f>65/(65+813)</f>
        <v>7.4031890660592251E-2</v>
      </c>
      <c r="I17" s="37">
        <f>3/878</f>
        <v>3.4168564920273349E-3</v>
      </c>
      <c r="J17" s="38">
        <v>5.2503052503052504E-2</v>
      </c>
      <c r="K17" s="46"/>
      <c r="L17" s="33">
        <v>26</v>
      </c>
      <c r="M17" s="57">
        <v>1.7000000000000001E-2</v>
      </c>
      <c r="N17" s="33">
        <v>23</v>
      </c>
      <c r="R17" s="56"/>
    </row>
    <row r="18" spans="1:18" x14ac:dyDescent="0.25">
      <c r="A18" s="6">
        <v>15</v>
      </c>
      <c r="B18" s="13" t="s">
        <v>19</v>
      </c>
      <c r="C18" s="17">
        <v>3</v>
      </c>
      <c r="D18" s="22">
        <v>0</v>
      </c>
      <c r="E18" s="49">
        <v>10039642</v>
      </c>
      <c r="F18" s="11">
        <v>449.2</v>
      </c>
      <c r="G18" s="12">
        <v>-0.04</v>
      </c>
      <c r="H18" s="36">
        <f>94/(94+362)</f>
        <v>0.20614035087719298</v>
      </c>
      <c r="I18" s="37">
        <f>226/(226+230)</f>
        <v>0.49561403508771928</v>
      </c>
      <c r="J18" s="38">
        <v>0.75</v>
      </c>
      <c r="K18" s="46"/>
      <c r="L18" s="33">
        <v>12</v>
      </c>
      <c r="M18" s="57">
        <v>4.0000000000000001E-3</v>
      </c>
      <c r="N18" s="33">
        <v>21</v>
      </c>
      <c r="R18" s="56"/>
    </row>
    <row r="19" spans="1:18" x14ac:dyDescent="0.25">
      <c r="A19" s="6">
        <v>16</v>
      </c>
      <c r="B19" s="13" t="s">
        <v>20</v>
      </c>
      <c r="C19" s="17">
        <v>35</v>
      </c>
      <c r="D19" s="22">
        <v>8</v>
      </c>
      <c r="E19" s="49">
        <v>198575066</v>
      </c>
      <c r="F19" s="11">
        <v>13876.09</v>
      </c>
      <c r="G19" s="12">
        <v>8.0000000000000002E-3</v>
      </c>
      <c r="H19" s="36">
        <f>2218/(2218+11708)</f>
        <v>0.15927042941260952</v>
      </c>
      <c r="I19" s="37">
        <f>454/(454+13472)</f>
        <v>3.2600890420795635E-2</v>
      </c>
      <c r="J19" s="38">
        <v>0.31998748827025336</v>
      </c>
      <c r="K19" s="46"/>
      <c r="L19" s="33">
        <v>249</v>
      </c>
      <c r="M19" s="57">
        <v>2E-3</v>
      </c>
      <c r="N19" s="33">
        <v>772</v>
      </c>
      <c r="R19" s="56"/>
    </row>
    <row r="20" spans="1:18" x14ac:dyDescent="0.25">
      <c r="A20" s="6">
        <v>17</v>
      </c>
      <c r="B20" s="13" t="s">
        <v>21</v>
      </c>
      <c r="C20" s="17">
        <v>4</v>
      </c>
      <c r="D20" s="22">
        <v>3</v>
      </c>
      <c r="E20" s="49">
        <v>23433221</v>
      </c>
      <c r="F20" s="11">
        <v>4146.88</v>
      </c>
      <c r="G20" s="12">
        <v>0</v>
      </c>
      <c r="H20" s="36">
        <f>246/(246+4120)</f>
        <v>5.634448007329363E-2</v>
      </c>
      <c r="I20" s="37">
        <f>65/(65+4301)</f>
        <v>1.488776912505726E-2</v>
      </c>
      <c r="J20" s="38">
        <v>0.49678910865656306</v>
      </c>
      <c r="K20" s="46"/>
      <c r="L20" s="33">
        <v>26</v>
      </c>
      <c r="M20" s="57">
        <v>5.0000000000000001E-3</v>
      </c>
      <c r="N20" s="33">
        <v>338</v>
      </c>
      <c r="R20" s="56"/>
    </row>
    <row r="21" spans="1:18" x14ac:dyDescent="0.25">
      <c r="A21" s="6">
        <v>18</v>
      </c>
      <c r="B21" s="13" t="s">
        <v>22</v>
      </c>
      <c r="C21" s="17">
        <v>3</v>
      </c>
      <c r="D21" s="22">
        <v>1</v>
      </c>
      <c r="E21" s="49">
        <v>5175879</v>
      </c>
      <c r="F21" s="11">
        <v>277.02</v>
      </c>
      <c r="G21" s="12">
        <v>3.3000000000000002E-2</v>
      </c>
      <c r="H21" s="36">
        <f>46/(46+244)</f>
        <v>0.15862068965517243</v>
      </c>
      <c r="I21" s="37">
        <f>31/(31+259)</f>
        <v>0.10689655172413794</v>
      </c>
      <c r="J21" s="38">
        <v>0.43560606060606061</v>
      </c>
      <c r="K21" s="46"/>
      <c r="L21" s="33">
        <v>0</v>
      </c>
      <c r="M21" s="57">
        <v>0</v>
      </c>
      <c r="N21" s="33">
        <v>21</v>
      </c>
      <c r="R21" s="56"/>
    </row>
    <row r="22" spans="1:18" x14ac:dyDescent="0.25">
      <c r="A22" s="6">
        <v>19</v>
      </c>
      <c r="B22" s="13" t="s">
        <v>23</v>
      </c>
      <c r="C22" s="17">
        <v>2</v>
      </c>
      <c r="D22" s="22">
        <v>1</v>
      </c>
      <c r="E22" s="49">
        <v>3309626</v>
      </c>
      <c r="F22" s="11">
        <v>115.45</v>
      </c>
      <c r="G22" s="12">
        <v>2.9000000000000001E-2</v>
      </c>
      <c r="H22" s="36">
        <f>27/(27+92)</f>
        <v>0.22689075630252101</v>
      </c>
      <c r="I22" s="37">
        <f>8/119</f>
        <v>6.7226890756302518E-2</v>
      </c>
      <c r="J22" s="38">
        <v>0.59803921568627449</v>
      </c>
      <c r="K22" s="46"/>
      <c r="L22" s="33">
        <v>1</v>
      </c>
      <c r="M22" s="57">
        <v>0</v>
      </c>
      <c r="N22" s="33">
        <v>5</v>
      </c>
      <c r="R22" s="56"/>
    </row>
    <row r="23" spans="1:18" x14ac:dyDescent="0.25">
      <c r="A23" s="6">
        <v>20</v>
      </c>
      <c r="B23" s="13" t="s">
        <v>24</v>
      </c>
      <c r="C23" s="17">
        <v>2</v>
      </c>
      <c r="D23" s="22">
        <v>0</v>
      </c>
      <c r="E23" s="49">
        <v>2295141</v>
      </c>
      <c r="F23" s="11">
        <v>81.400000000000006</v>
      </c>
      <c r="G23" s="12">
        <v>0.16300000000000001</v>
      </c>
      <c r="H23" s="36">
        <f>21/88</f>
        <v>0.23863636363636365</v>
      </c>
      <c r="I23" s="37">
        <f>30/88</f>
        <v>0.34090909090909088</v>
      </c>
      <c r="J23" s="38">
        <v>0.81578947368421051</v>
      </c>
      <c r="K23" s="46"/>
      <c r="L23" s="33">
        <v>2</v>
      </c>
      <c r="M23" s="57">
        <v>0</v>
      </c>
      <c r="N23" s="33">
        <v>7</v>
      </c>
      <c r="R23" s="56"/>
    </row>
    <row r="24" spans="1:18" x14ac:dyDescent="0.25">
      <c r="A24" s="6">
        <v>21</v>
      </c>
      <c r="B24" s="13" t="s">
        <v>25</v>
      </c>
      <c r="C24" s="17">
        <v>8</v>
      </c>
      <c r="D24" s="22">
        <v>0</v>
      </c>
      <c r="E24" s="49">
        <v>6572347</v>
      </c>
      <c r="F24" s="11">
        <v>286.02999999999997</v>
      </c>
      <c r="G24" s="12">
        <v>-8.8999999999999996E-2</v>
      </c>
      <c r="H24" s="36">
        <f>32/(32+279)</f>
        <v>0.10289389067524116</v>
      </c>
      <c r="I24" s="37">
        <f>35/(35+276)</f>
        <v>0.11254019292604502</v>
      </c>
      <c r="J24" s="38">
        <v>0.1872791519434629</v>
      </c>
      <c r="K24" s="46"/>
      <c r="L24" s="33">
        <v>2</v>
      </c>
      <c r="M24" s="57">
        <v>1.2E-2</v>
      </c>
      <c r="N24" s="33">
        <v>10</v>
      </c>
      <c r="R24" s="56"/>
    </row>
    <row r="25" spans="1:18" x14ac:dyDescent="0.25">
      <c r="A25" s="6">
        <v>22</v>
      </c>
      <c r="B25" s="13" t="s">
        <v>26</v>
      </c>
      <c r="C25" s="17">
        <v>15</v>
      </c>
      <c r="D25" s="22">
        <v>3</v>
      </c>
      <c r="E25" s="49">
        <v>69804510</v>
      </c>
      <c r="F25" s="11">
        <v>4736.3100000000004</v>
      </c>
      <c r="G25" s="12">
        <v>-1.4999999999999999E-2</v>
      </c>
      <c r="H25" s="36">
        <f>795/(795+4066)</f>
        <v>0.16354659535075086</v>
      </c>
      <c r="I25" s="37">
        <f>3/4861</f>
        <v>6.1715696358773911E-4</v>
      </c>
      <c r="J25" s="38">
        <v>0.2607101947308133</v>
      </c>
      <c r="K25" s="46"/>
      <c r="L25" s="33">
        <v>61</v>
      </c>
      <c r="M25" s="57">
        <v>4.0000000000000001E-3</v>
      </c>
      <c r="N25" s="33">
        <v>330</v>
      </c>
      <c r="R25" s="56"/>
    </row>
    <row r="26" spans="1:18" x14ac:dyDescent="0.25">
      <c r="A26" s="6">
        <v>23</v>
      </c>
      <c r="B26" s="15" t="s">
        <v>27</v>
      </c>
      <c r="C26" s="17">
        <v>1</v>
      </c>
      <c r="D26" s="22">
        <v>0</v>
      </c>
      <c r="E26" s="49">
        <v>2748062</v>
      </c>
      <c r="F26" s="11">
        <v>107.65</v>
      </c>
      <c r="G26" s="12">
        <v>-1.9E-2</v>
      </c>
      <c r="H26" s="36">
        <f>12/(12+96)</f>
        <v>0.1111111111111111</v>
      </c>
      <c r="I26" s="37">
        <f>14/108</f>
        <v>0.12962962962962962</v>
      </c>
      <c r="J26" s="38">
        <v>0.41584158415841582</v>
      </c>
      <c r="K26" s="46"/>
      <c r="L26" s="33">
        <v>2</v>
      </c>
      <c r="M26" s="57">
        <v>0</v>
      </c>
      <c r="N26" s="33">
        <v>10</v>
      </c>
      <c r="R26" s="56"/>
    </row>
    <row r="27" spans="1:18" x14ac:dyDescent="0.25">
      <c r="A27" s="6">
        <v>55</v>
      </c>
      <c r="B27" s="13" t="s">
        <v>28</v>
      </c>
      <c r="C27" s="17">
        <v>1</v>
      </c>
      <c r="D27" s="22">
        <v>1</v>
      </c>
      <c r="E27" s="49">
        <v>7293384</v>
      </c>
      <c r="F27" s="11">
        <v>331.6</v>
      </c>
      <c r="G27" s="12">
        <v>4.5999999999999999E-2</v>
      </c>
      <c r="H27" s="36">
        <f>38/(38+295)</f>
        <v>0.11411411411411411</v>
      </c>
      <c r="I27" s="37">
        <f>104/(104+229)</f>
        <v>0.31231231231231232</v>
      </c>
      <c r="J27" s="38">
        <v>0.88</v>
      </c>
      <c r="K27" s="46"/>
      <c r="L27" s="33">
        <v>4</v>
      </c>
      <c r="M27" s="57">
        <v>2.9000000000000001E-2</v>
      </c>
      <c r="N27" s="33">
        <v>15</v>
      </c>
      <c r="R27" s="56"/>
    </row>
    <row r="28" spans="1:18" x14ac:dyDescent="0.25">
      <c r="A28" s="6">
        <v>24</v>
      </c>
      <c r="B28" s="13" t="s">
        <v>29</v>
      </c>
      <c r="C28" s="17">
        <v>43</v>
      </c>
      <c r="D28" s="22">
        <v>7</v>
      </c>
      <c r="E28" s="49">
        <v>140997864</v>
      </c>
      <c r="F28" s="11">
        <v>8787.6</v>
      </c>
      <c r="G28" s="12">
        <v>-5.0000000000000001E-3</v>
      </c>
      <c r="H28" s="36">
        <f>1521/(1521+7611)</f>
        <v>0.16655716162943496</v>
      </c>
      <c r="I28" s="37">
        <f>419/(419+8713)</f>
        <v>4.5882610600087602E-2</v>
      </c>
      <c r="J28" s="38">
        <v>0.39307192687033921</v>
      </c>
      <c r="K28" s="46"/>
      <c r="L28" s="33">
        <v>96</v>
      </c>
      <c r="M28" s="57">
        <v>2E-3</v>
      </c>
      <c r="N28" s="33">
        <v>614</v>
      </c>
      <c r="R28" s="56"/>
    </row>
    <row r="29" spans="1:18" x14ac:dyDescent="0.25">
      <c r="A29" s="6">
        <v>25</v>
      </c>
      <c r="B29" s="13" t="s">
        <v>30</v>
      </c>
      <c r="C29" s="17">
        <v>10</v>
      </c>
      <c r="D29" s="22">
        <v>1</v>
      </c>
      <c r="E29" s="49">
        <v>34481257</v>
      </c>
      <c r="F29" s="11">
        <v>2239.2199999999998</v>
      </c>
      <c r="G29" s="12">
        <v>6.0000000000000001E-3</v>
      </c>
      <c r="H29" s="36">
        <f>256/(256+2109)</f>
        <v>0.10824524312896405</v>
      </c>
      <c r="I29" s="37">
        <f>1/2365</f>
        <v>4.2283298097251583E-4</v>
      </c>
      <c r="J29" s="38">
        <v>0.42611190817790529</v>
      </c>
      <c r="K29" s="46"/>
      <c r="L29" s="33">
        <v>32</v>
      </c>
      <c r="M29" s="57">
        <v>8.0000000000000002E-3</v>
      </c>
      <c r="N29" s="33">
        <v>158</v>
      </c>
      <c r="R29" s="56"/>
    </row>
    <row r="30" spans="1:18" x14ac:dyDescent="0.25">
      <c r="A30" s="6">
        <v>27</v>
      </c>
      <c r="B30" s="13" t="s">
        <v>31</v>
      </c>
      <c r="C30" s="17">
        <v>1</v>
      </c>
      <c r="D30" s="22">
        <v>1</v>
      </c>
      <c r="E30" s="49">
        <v>3356111</v>
      </c>
      <c r="F30" s="11">
        <v>114.55</v>
      </c>
      <c r="G30" s="12">
        <v>-6.8000000000000005E-2</v>
      </c>
      <c r="H30" s="36">
        <f>26/(26+90)</f>
        <v>0.22413793103448276</v>
      </c>
      <c r="I30" s="37">
        <f>21/(21+95)</f>
        <v>0.18103448275862069</v>
      </c>
      <c r="J30" s="38">
        <v>0.78504672897196259</v>
      </c>
      <c r="K30" s="46"/>
      <c r="L30" s="33">
        <v>2</v>
      </c>
      <c r="M30" s="57">
        <v>0</v>
      </c>
      <c r="N30" s="33">
        <v>5</v>
      </c>
      <c r="R30" s="56"/>
    </row>
    <row r="31" spans="1:18" x14ac:dyDescent="0.25">
      <c r="A31" s="6">
        <v>28</v>
      </c>
      <c r="B31" s="15" t="s">
        <v>32</v>
      </c>
      <c r="C31" s="17">
        <v>15</v>
      </c>
      <c r="D31" s="22">
        <v>2</v>
      </c>
      <c r="E31" s="49">
        <v>48455066</v>
      </c>
      <c r="F31" s="11">
        <v>2419.7199999999998</v>
      </c>
      <c r="G31" s="12">
        <v>-0.01</v>
      </c>
      <c r="H31" s="36">
        <f>285/(285+2152)</f>
        <v>0.11694706606483381</v>
      </c>
      <c r="I31" s="37">
        <f>383/(383+2054)</f>
        <v>0.15716044316782929</v>
      </c>
      <c r="J31" s="38">
        <v>0.50601872492197952</v>
      </c>
      <c r="K31" s="46"/>
      <c r="L31" s="33">
        <v>13</v>
      </c>
      <c r="M31" s="57">
        <v>7.0000000000000001E-3</v>
      </c>
      <c r="N31" s="33">
        <v>185</v>
      </c>
      <c r="R31" s="56"/>
    </row>
    <row r="32" spans="1:18" x14ac:dyDescent="0.25">
      <c r="A32" s="6">
        <v>29</v>
      </c>
      <c r="B32" s="15" t="s">
        <v>33</v>
      </c>
      <c r="C32" s="17">
        <v>9</v>
      </c>
      <c r="D32" s="22">
        <v>0</v>
      </c>
      <c r="E32" s="49">
        <v>11272321</v>
      </c>
      <c r="F32" s="11">
        <v>347.35</v>
      </c>
      <c r="G32" s="12">
        <v>4.0000000000000001E-3</v>
      </c>
      <c r="H32" s="36">
        <f>53/(53+357)</f>
        <v>0.12926829268292683</v>
      </c>
      <c r="I32" s="37">
        <f>32/(32+378)</f>
        <v>7.8048780487804878E-2</v>
      </c>
      <c r="J32" s="38">
        <v>0.87662337662337664</v>
      </c>
      <c r="K32" s="46"/>
      <c r="L32" s="33">
        <v>11</v>
      </c>
      <c r="M32" s="57">
        <v>8.9999999999999993E-3</v>
      </c>
      <c r="N32" s="33">
        <v>15</v>
      </c>
      <c r="R32" s="56"/>
    </row>
    <row r="33" spans="1:18" x14ac:dyDescent="0.25">
      <c r="A33" s="6">
        <v>30</v>
      </c>
      <c r="B33" s="15" t="s">
        <v>34</v>
      </c>
      <c r="C33" s="17">
        <v>13</v>
      </c>
      <c r="D33" s="22">
        <v>0</v>
      </c>
      <c r="E33" s="49">
        <v>14050110</v>
      </c>
      <c r="F33" s="11">
        <v>318.55</v>
      </c>
      <c r="G33" s="12">
        <v>8.0000000000000002E-3</v>
      </c>
      <c r="H33" s="36">
        <f>70/(70+271)</f>
        <v>0.20527859237536658</v>
      </c>
      <c r="I33" s="37">
        <f>135/(135+206)</f>
        <v>0.39589442815249265</v>
      </c>
      <c r="J33" s="38">
        <v>0.63928571428571423</v>
      </c>
      <c r="K33" s="46"/>
      <c r="L33" s="33">
        <v>7</v>
      </c>
      <c r="M33" s="57">
        <v>8.9999999999999993E-3</v>
      </c>
      <c r="N33" s="33">
        <v>31</v>
      </c>
      <c r="R33" s="56"/>
    </row>
    <row r="34" spans="1:18" x14ac:dyDescent="0.25">
      <c r="A34" s="6">
        <v>31</v>
      </c>
      <c r="B34" s="13" t="s">
        <v>35</v>
      </c>
      <c r="C34" s="17">
        <v>28</v>
      </c>
      <c r="D34" s="22">
        <v>28</v>
      </c>
      <c r="E34" s="49">
        <v>114779877</v>
      </c>
      <c r="F34" s="11">
        <v>4118.8999999999996</v>
      </c>
      <c r="G34" s="12">
        <v>2E-3</v>
      </c>
      <c r="H34" s="36">
        <f>479/(479+3814)</f>
        <v>0.11157698579082227</v>
      </c>
      <c r="I34" s="37">
        <f>813/(813+3480)</f>
        <v>0.18937805730258561</v>
      </c>
      <c r="J34" s="38">
        <v>0.78386243386243382</v>
      </c>
      <c r="K34" s="46"/>
      <c r="L34" s="33">
        <v>160</v>
      </c>
      <c r="M34" s="57">
        <v>2.1999999999999999E-2</v>
      </c>
      <c r="N34" s="33">
        <v>182</v>
      </c>
      <c r="R34" s="56"/>
    </row>
    <row r="35" spans="1:18" x14ac:dyDescent="0.25">
      <c r="A35" s="6">
        <v>32</v>
      </c>
      <c r="B35" s="13" t="s">
        <v>36</v>
      </c>
      <c r="C35" s="17">
        <v>10</v>
      </c>
      <c r="D35" s="22">
        <v>0</v>
      </c>
      <c r="E35" s="49">
        <v>47495786</v>
      </c>
      <c r="F35" s="11">
        <v>1999.85</v>
      </c>
      <c r="G35" s="12">
        <v>-0.01</v>
      </c>
      <c r="H35" s="36">
        <f>276/(276+1756)</f>
        <v>0.13582677165354332</v>
      </c>
      <c r="I35" s="37">
        <f>215/(215+1817)</f>
        <v>0.10580708661417323</v>
      </c>
      <c r="J35" s="38">
        <v>0.86918918918918919</v>
      </c>
      <c r="K35" s="46"/>
      <c r="L35" s="33">
        <v>81</v>
      </c>
      <c r="M35" s="57">
        <v>2.5999999999999999E-2</v>
      </c>
      <c r="N35" s="33">
        <v>95</v>
      </c>
      <c r="R35" s="56"/>
    </row>
    <row r="36" spans="1:18" x14ac:dyDescent="0.25">
      <c r="A36" s="6">
        <v>33</v>
      </c>
      <c r="B36" s="15" t="s">
        <v>37</v>
      </c>
      <c r="C36" s="17">
        <v>46</v>
      </c>
      <c r="D36" s="22">
        <v>8</v>
      </c>
      <c r="E36" s="49">
        <v>240623678</v>
      </c>
      <c r="F36" s="11">
        <v>18464.59</v>
      </c>
      <c r="G36" s="12">
        <v>0.04</v>
      </c>
      <c r="H36" s="36">
        <f>2771/(2771+15974)</f>
        <v>0.14782608695652175</v>
      </c>
      <c r="I36" s="37">
        <f>1050/(1050+17695)</f>
        <v>5.6014937316617767E-2</v>
      </c>
      <c r="J36" s="38">
        <v>0.32604362101313322</v>
      </c>
      <c r="K36" s="46"/>
      <c r="L36" s="33">
        <v>296</v>
      </c>
      <c r="M36" s="57">
        <v>7.0000000000000001E-3</v>
      </c>
      <c r="N36" s="33">
        <v>1140</v>
      </c>
      <c r="R36" s="56"/>
    </row>
    <row r="37" spans="1:18" x14ac:dyDescent="0.25">
      <c r="A37" s="6">
        <v>98</v>
      </c>
      <c r="B37" s="13" t="s">
        <v>38</v>
      </c>
      <c r="C37" s="17">
        <v>1</v>
      </c>
      <c r="D37" s="22">
        <v>1</v>
      </c>
      <c r="E37" s="53" t="s">
        <v>69</v>
      </c>
      <c r="F37" s="11">
        <v>425.05</v>
      </c>
      <c r="G37" s="12">
        <v>0.2</v>
      </c>
      <c r="H37" s="36">
        <f>10/426</f>
        <v>2.3474178403755867E-2</v>
      </c>
      <c r="I37" s="37">
        <f>102/(102+324)</f>
        <v>0.23943661971830985</v>
      </c>
      <c r="J37" s="38">
        <v>0.72535211267605637</v>
      </c>
      <c r="K37" s="46"/>
      <c r="L37" s="33">
        <v>0</v>
      </c>
      <c r="M37" s="57" t="s">
        <v>70</v>
      </c>
      <c r="N37" s="33">
        <v>82</v>
      </c>
    </row>
    <row r="38" spans="1:18" x14ac:dyDescent="0.25">
      <c r="A38" s="6">
        <v>34</v>
      </c>
      <c r="B38" s="13" t="s">
        <v>39</v>
      </c>
      <c r="C38" s="17">
        <v>2</v>
      </c>
      <c r="D38" s="22">
        <v>0</v>
      </c>
      <c r="E38" s="49">
        <v>7611322</v>
      </c>
      <c r="F38" s="11">
        <v>1042.93</v>
      </c>
      <c r="G38" s="12">
        <v>6.7000000000000004E-2</v>
      </c>
      <c r="H38" s="36">
        <f>122/(122+980)</f>
        <v>0.11070780399274047</v>
      </c>
      <c r="I38" s="37">
        <f>19/(19+1083)</f>
        <v>1.7241379310344827E-2</v>
      </c>
      <c r="J38" s="38">
        <v>7.5433231396534142E-2</v>
      </c>
      <c r="K38" s="46"/>
      <c r="L38" s="33">
        <v>174</v>
      </c>
      <c r="M38" s="57">
        <v>1.7999999999999999E-2</v>
      </c>
      <c r="N38" s="33">
        <v>95</v>
      </c>
      <c r="R38" s="56"/>
    </row>
    <row r="39" spans="1:18" x14ac:dyDescent="0.25">
      <c r="A39" s="6">
        <v>35</v>
      </c>
      <c r="B39" s="13" t="s">
        <v>40</v>
      </c>
      <c r="C39" s="17">
        <v>5</v>
      </c>
      <c r="D39" s="22">
        <v>1</v>
      </c>
      <c r="E39" s="49">
        <v>14139090</v>
      </c>
      <c r="F39" s="11">
        <v>732.2</v>
      </c>
      <c r="G39" s="12">
        <v>4.7E-2</v>
      </c>
      <c r="H39" s="36">
        <f>63/(63+653)</f>
        <v>8.7988826815642462E-2</v>
      </c>
      <c r="I39" s="37">
        <f>121/(121+595)</f>
        <v>0.16899441340782123</v>
      </c>
      <c r="J39" s="38">
        <v>0.35823170731707316</v>
      </c>
      <c r="K39" s="46"/>
      <c r="L39" s="33">
        <v>13</v>
      </c>
      <c r="M39" s="57">
        <v>1.2999999999999999E-2</v>
      </c>
      <c r="N39" s="33">
        <v>36</v>
      </c>
      <c r="R39" s="56"/>
    </row>
    <row r="40" spans="1:18" x14ac:dyDescent="0.25">
      <c r="A40" s="6">
        <v>36</v>
      </c>
      <c r="B40" s="13" t="s">
        <v>41</v>
      </c>
      <c r="C40" s="17">
        <v>11</v>
      </c>
      <c r="D40" s="22">
        <v>0</v>
      </c>
      <c r="E40" s="49">
        <v>63618817</v>
      </c>
      <c r="F40" s="11">
        <v>1776.4</v>
      </c>
      <c r="G40" s="12">
        <v>2.1999999999999999E-2</v>
      </c>
      <c r="H40" s="36">
        <f>220/(220+1830)</f>
        <v>0.10731707317073171</v>
      </c>
      <c r="I40" s="37">
        <f>3/2050</f>
        <v>1.4634146341463415E-3</v>
      </c>
      <c r="J40" s="38">
        <v>0.47727272727272729</v>
      </c>
      <c r="K40" s="46"/>
      <c r="L40" s="33">
        <v>71</v>
      </c>
      <c r="M40" s="57">
        <v>2E-3</v>
      </c>
      <c r="N40" s="33">
        <v>87</v>
      </c>
      <c r="R40" s="56"/>
    </row>
    <row r="41" spans="1:18" x14ac:dyDescent="0.25">
      <c r="A41" s="6">
        <v>37</v>
      </c>
      <c r="B41" s="13" t="s">
        <v>42</v>
      </c>
      <c r="C41" s="17">
        <v>13</v>
      </c>
      <c r="D41" s="22">
        <v>0</v>
      </c>
      <c r="E41" s="49">
        <v>56300290</v>
      </c>
      <c r="F41" s="11">
        <v>2008.8</v>
      </c>
      <c r="G41" s="12">
        <v>3.5000000000000003E-2</v>
      </c>
      <c r="H41" s="36">
        <f>290/(290+1884)</f>
        <v>0.13339466421343146</v>
      </c>
      <c r="I41" s="37">
        <f>836/(836+1338)</f>
        <v>0.38454461821527142</v>
      </c>
      <c r="J41" s="38">
        <v>0.67678958785249455</v>
      </c>
      <c r="K41" s="46"/>
      <c r="L41" s="33">
        <v>36</v>
      </c>
      <c r="M41" s="57">
        <v>0</v>
      </c>
      <c r="N41" s="33">
        <v>111</v>
      </c>
      <c r="R41" s="56"/>
    </row>
    <row r="42" spans="1:18" x14ac:dyDescent="0.25">
      <c r="A42" s="6">
        <v>38</v>
      </c>
      <c r="B42" s="13" t="s">
        <v>43</v>
      </c>
      <c r="C42" s="17">
        <v>1</v>
      </c>
      <c r="D42" s="22">
        <v>0</v>
      </c>
      <c r="E42" s="49">
        <v>488845</v>
      </c>
      <c r="F42" s="11">
        <v>12.55</v>
      </c>
      <c r="G42" s="12">
        <v>0.106</v>
      </c>
      <c r="H42" s="36">
        <f>4/14</f>
        <v>0.2857142857142857</v>
      </c>
      <c r="I42" s="37">
        <f>7/14</f>
        <v>0.5</v>
      </c>
      <c r="J42" s="38">
        <v>0.84615384615384615</v>
      </c>
      <c r="K42" s="46"/>
      <c r="L42" s="33">
        <v>1</v>
      </c>
      <c r="M42" s="57">
        <v>0</v>
      </c>
      <c r="N42" s="33">
        <v>1</v>
      </c>
      <c r="R42" s="56"/>
    </row>
    <row r="43" spans="1:18" x14ac:dyDescent="0.25">
      <c r="A43" s="6">
        <v>39</v>
      </c>
      <c r="B43" s="13" t="s">
        <v>44</v>
      </c>
      <c r="C43" s="17">
        <v>3</v>
      </c>
      <c r="D43" s="22">
        <v>1</v>
      </c>
      <c r="E43" s="49">
        <v>8369900</v>
      </c>
      <c r="F43" s="11">
        <v>460.51</v>
      </c>
      <c r="G43" s="12">
        <v>6.6000000000000003E-2</v>
      </c>
      <c r="H43" s="36">
        <f>65/(65+397)</f>
        <v>0.1406926406926407</v>
      </c>
      <c r="I43" s="37">
        <f>83/(83+379)</f>
        <v>0.17965367965367965</v>
      </c>
      <c r="J43" s="38">
        <v>0.45971563981042651</v>
      </c>
      <c r="K43" s="46"/>
      <c r="L43" s="33">
        <v>0</v>
      </c>
      <c r="M43" s="57">
        <v>7.0000000000000001E-3</v>
      </c>
      <c r="N43" s="33">
        <v>31</v>
      </c>
      <c r="R43" s="56"/>
    </row>
    <row r="44" spans="1:18" x14ac:dyDescent="0.25">
      <c r="A44" s="6">
        <v>40</v>
      </c>
      <c r="B44" s="13" t="s">
        <v>45</v>
      </c>
      <c r="C44" s="17">
        <v>2</v>
      </c>
      <c r="D44" s="22">
        <v>0</v>
      </c>
      <c r="E44" s="49">
        <v>2455207</v>
      </c>
      <c r="F44" s="11">
        <v>71.099999999999994</v>
      </c>
      <c r="G44" s="12">
        <v>-0.13400000000000001</v>
      </c>
      <c r="H44" s="36">
        <f>10/82</f>
        <v>0.12195121951219512</v>
      </c>
      <c r="I44" s="37">
        <v>0</v>
      </c>
      <c r="J44" s="38">
        <v>0.69117647058823528</v>
      </c>
      <c r="K44" s="46"/>
      <c r="L44" s="33">
        <v>1</v>
      </c>
      <c r="M44" s="57">
        <v>2.3E-2</v>
      </c>
      <c r="N44" s="33">
        <v>3</v>
      </c>
      <c r="R44" s="56"/>
    </row>
    <row r="45" spans="1:18" x14ac:dyDescent="0.25">
      <c r="A45" s="6">
        <v>46</v>
      </c>
      <c r="B45" s="13" t="s">
        <v>46</v>
      </c>
      <c r="C45" s="17">
        <v>1</v>
      </c>
      <c r="D45" s="22">
        <v>1</v>
      </c>
      <c r="E45" s="49">
        <v>4017977</v>
      </c>
      <c r="F45" s="11">
        <v>193.2</v>
      </c>
      <c r="G45" s="12">
        <v>-2.1999999999999999E-2</v>
      </c>
      <c r="H45" s="36">
        <f>22/(22+192)</f>
        <v>0.10280373831775701</v>
      </c>
      <c r="I45" s="37">
        <f>26/(26+188)</f>
        <v>0.12149532710280374</v>
      </c>
      <c r="J45" s="38">
        <v>0.9438202247191011</v>
      </c>
      <c r="K45" s="46"/>
      <c r="L45" s="33">
        <v>5</v>
      </c>
      <c r="M45" s="57">
        <v>4.3999999999999997E-2</v>
      </c>
      <c r="N45" s="33">
        <v>10</v>
      </c>
      <c r="R45" s="56"/>
    </row>
    <row r="46" spans="1:18" x14ac:dyDescent="0.25">
      <c r="A46" s="6">
        <v>42</v>
      </c>
      <c r="B46" s="13" t="s">
        <v>47</v>
      </c>
      <c r="C46" s="17">
        <v>6</v>
      </c>
      <c r="D46" s="22">
        <v>1</v>
      </c>
      <c r="E46" s="49">
        <v>21273589</v>
      </c>
      <c r="F46" s="11">
        <v>1314.95</v>
      </c>
      <c r="G46" s="12">
        <v>0</v>
      </c>
      <c r="H46" s="36">
        <f>186/(186+1202)</f>
        <v>0.1340057636887608</v>
      </c>
      <c r="I46" s="37">
        <f>25/(25+1363)</f>
        <v>1.8011527377521614E-2</v>
      </c>
      <c r="J46" s="38">
        <v>0.31669266770670829</v>
      </c>
      <c r="K46" s="46"/>
      <c r="L46" s="33">
        <v>10</v>
      </c>
      <c r="M46" s="57">
        <v>1.6E-2</v>
      </c>
      <c r="N46" s="33">
        <v>73</v>
      </c>
      <c r="R46" s="56"/>
    </row>
    <row r="47" spans="1:18" x14ac:dyDescent="0.25">
      <c r="A47" s="6">
        <v>43</v>
      </c>
      <c r="B47" s="13" t="s">
        <v>48</v>
      </c>
      <c r="C47" s="17">
        <v>1</v>
      </c>
      <c r="D47" s="22">
        <v>0</v>
      </c>
      <c r="E47" s="49">
        <v>2182602</v>
      </c>
      <c r="F47" s="11">
        <v>100.85</v>
      </c>
      <c r="G47" s="12">
        <v>0.20100000000000001</v>
      </c>
      <c r="H47" s="36">
        <f>11/108</f>
        <v>0.10185185185185185</v>
      </c>
      <c r="I47" s="37">
        <f>1/108</f>
        <v>9.2592592592592587E-3</v>
      </c>
      <c r="J47" s="38">
        <v>0.19791666666666666</v>
      </c>
      <c r="K47" s="46"/>
      <c r="L47" s="33">
        <v>0</v>
      </c>
      <c r="M47" s="57">
        <v>0</v>
      </c>
      <c r="N47" s="33">
        <v>2</v>
      </c>
      <c r="R47" s="56"/>
    </row>
    <row r="48" spans="1:18" x14ac:dyDescent="0.25">
      <c r="A48" s="6">
        <v>44</v>
      </c>
      <c r="B48" s="13" t="s">
        <v>49</v>
      </c>
      <c r="C48" s="17">
        <v>10</v>
      </c>
      <c r="D48" s="22">
        <v>0</v>
      </c>
      <c r="E48" s="49">
        <v>7840507</v>
      </c>
      <c r="F48" s="11">
        <v>175.72</v>
      </c>
      <c r="G48" s="12">
        <v>-7.5999999999999998E-2</v>
      </c>
      <c r="H48" s="36">
        <f>37/(37+147)</f>
        <v>0.20108695652173914</v>
      </c>
      <c r="I48" s="37">
        <f>27/(27+157)</f>
        <v>0.14673913043478262</v>
      </c>
      <c r="J48" s="38">
        <v>0.69620253164556967</v>
      </c>
      <c r="K48" s="46"/>
      <c r="L48" s="33">
        <v>4</v>
      </c>
      <c r="M48" s="57">
        <v>0.03</v>
      </c>
      <c r="N48" s="33">
        <v>21</v>
      </c>
      <c r="R48" s="56"/>
    </row>
    <row r="49" spans="1:18" x14ac:dyDescent="0.25">
      <c r="A49" s="6">
        <v>45</v>
      </c>
      <c r="B49" s="13" t="s">
        <v>50</v>
      </c>
      <c r="C49" s="17">
        <v>7</v>
      </c>
      <c r="D49" s="22">
        <v>0</v>
      </c>
      <c r="E49" s="49">
        <v>16694247</v>
      </c>
      <c r="F49" s="11">
        <v>579.96</v>
      </c>
      <c r="G49" s="12">
        <v>-1.4999999999999999E-2</v>
      </c>
      <c r="H49" s="36">
        <f>75/(75+517)</f>
        <v>0.1266891891891892</v>
      </c>
      <c r="I49" s="37">
        <f>191/(191+401)</f>
        <v>0.32263513513513514</v>
      </c>
      <c r="J49" s="38">
        <v>0.69172932330827064</v>
      </c>
      <c r="K49" s="46"/>
      <c r="L49" s="33">
        <v>16</v>
      </c>
      <c r="M49" s="57">
        <v>7.0000000000000001E-3</v>
      </c>
      <c r="N49" s="33">
        <v>24</v>
      </c>
      <c r="R49" s="56"/>
    </row>
    <row r="50" spans="1:18" x14ac:dyDescent="0.25">
      <c r="A50" s="6">
        <v>53</v>
      </c>
      <c r="B50" s="13" t="s">
        <v>51</v>
      </c>
      <c r="C50" s="17">
        <v>1</v>
      </c>
      <c r="D50" s="22">
        <v>0</v>
      </c>
      <c r="E50" s="49">
        <v>1547124</v>
      </c>
      <c r="F50" s="11">
        <v>39</v>
      </c>
      <c r="G50" s="12">
        <v>1.2999999999999999E-2</v>
      </c>
      <c r="H50" s="36">
        <f>12/37</f>
        <v>0.32432432432432434</v>
      </c>
      <c r="I50" s="37">
        <f>29/37</f>
        <v>0.78378378378378377</v>
      </c>
      <c r="J50" s="38">
        <v>0.55555555555555558</v>
      </c>
      <c r="K50" s="46"/>
      <c r="L50" s="33">
        <v>0</v>
      </c>
      <c r="M50" s="57">
        <v>0</v>
      </c>
      <c r="N50" s="33">
        <v>2</v>
      </c>
      <c r="R50" s="56"/>
    </row>
    <row r="51" spans="1:18" x14ac:dyDescent="0.25">
      <c r="A51" s="6">
        <v>47</v>
      </c>
      <c r="B51" s="13" t="s">
        <v>52</v>
      </c>
      <c r="C51" s="17">
        <v>2</v>
      </c>
      <c r="D51" s="22">
        <v>1</v>
      </c>
      <c r="E51" s="49">
        <v>7831244</v>
      </c>
      <c r="F51" s="11">
        <v>374.6</v>
      </c>
      <c r="G51" s="12">
        <v>-5.2999999999999999E-2</v>
      </c>
      <c r="H51" s="36">
        <f>25/(25+353)</f>
        <v>6.6137566137566134E-2</v>
      </c>
      <c r="I51" s="37">
        <v>0</v>
      </c>
      <c r="J51" s="38">
        <v>0.12979351032448377</v>
      </c>
      <c r="K51" s="46"/>
      <c r="L51" s="33">
        <v>0</v>
      </c>
      <c r="M51" s="57">
        <v>4.0000000000000001E-3</v>
      </c>
      <c r="N51" s="33">
        <v>27</v>
      </c>
      <c r="R51" s="56"/>
    </row>
    <row r="52" spans="1:18" x14ac:dyDescent="0.25">
      <c r="A52" s="6">
        <v>48</v>
      </c>
      <c r="B52" s="13" t="s">
        <v>53</v>
      </c>
      <c r="C52" s="17">
        <v>4</v>
      </c>
      <c r="D52" s="22">
        <v>1</v>
      </c>
      <c r="E52" s="49">
        <v>13791154</v>
      </c>
      <c r="F52" s="11">
        <v>634.91</v>
      </c>
      <c r="G52" s="12">
        <v>5.3999999999999999E-2</v>
      </c>
      <c r="H52" s="36">
        <f>99/(99+549)</f>
        <v>0.15277777777777779</v>
      </c>
      <c r="I52" s="37">
        <f>81/(81+567)</f>
        <v>0.125</v>
      </c>
      <c r="J52" s="38">
        <v>0.29310344827586204</v>
      </c>
      <c r="K52" s="46"/>
      <c r="L52" s="33">
        <v>2</v>
      </c>
      <c r="M52" s="57">
        <v>0</v>
      </c>
      <c r="N52" s="33">
        <v>39</v>
      </c>
      <c r="R52" s="56"/>
    </row>
    <row r="53" spans="1:18" x14ac:dyDescent="0.25">
      <c r="A53" s="6">
        <v>49</v>
      </c>
      <c r="B53" s="13" t="s">
        <v>54</v>
      </c>
      <c r="C53" s="17">
        <v>3</v>
      </c>
      <c r="D53" s="22">
        <v>1</v>
      </c>
      <c r="E53" s="49">
        <v>4940707</v>
      </c>
      <c r="F53" s="11">
        <v>269.85000000000002</v>
      </c>
      <c r="G53" s="12">
        <v>-7.0000000000000001E-3</v>
      </c>
      <c r="H53" s="36">
        <f>40/278</f>
        <v>0.14388489208633093</v>
      </c>
      <c r="I53" s="37">
        <f>44/(44+234)</f>
        <v>0.15827338129496402</v>
      </c>
      <c r="J53" s="38">
        <v>0.31075697211155379</v>
      </c>
      <c r="K53" s="46"/>
      <c r="L53" s="33">
        <v>0</v>
      </c>
      <c r="M53" s="57">
        <v>0.03</v>
      </c>
      <c r="N53" s="33">
        <v>19</v>
      </c>
      <c r="R53" s="56"/>
    </row>
    <row r="54" spans="1:18" x14ac:dyDescent="0.25">
      <c r="A54" s="6">
        <v>50</v>
      </c>
      <c r="B54" s="13" t="s">
        <v>55</v>
      </c>
      <c r="C54" s="17">
        <v>2</v>
      </c>
      <c r="D54" s="22">
        <v>1</v>
      </c>
      <c r="E54" s="49">
        <v>2221506</v>
      </c>
      <c r="F54" s="11">
        <v>81.430000000000007</v>
      </c>
      <c r="G54" s="12">
        <v>-0.16300000000000001</v>
      </c>
      <c r="H54" s="36">
        <f>10/91</f>
        <v>0.10989010989010989</v>
      </c>
      <c r="I54" s="37">
        <f>16/(16+75)</f>
        <v>0.17582417582417584</v>
      </c>
      <c r="J54" s="38">
        <v>0.72941176470588232</v>
      </c>
      <c r="K54" s="46"/>
      <c r="L54" s="33">
        <v>2</v>
      </c>
      <c r="M54" s="57">
        <v>0.1</v>
      </c>
      <c r="N54" s="33">
        <v>4</v>
      </c>
      <c r="R54" s="56"/>
    </row>
    <row r="55" spans="1:18" x14ac:dyDescent="0.25">
      <c r="A55" s="6">
        <v>51</v>
      </c>
      <c r="B55" s="13" t="s">
        <v>56</v>
      </c>
      <c r="C55" s="17">
        <v>8</v>
      </c>
      <c r="D55" s="22">
        <v>0</v>
      </c>
      <c r="E55" s="49">
        <v>9340160</v>
      </c>
      <c r="F55" s="11">
        <v>237.55</v>
      </c>
      <c r="G55" s="12">
        <v>-0.01</v>
      </c>
      <c r="H55" s="36">
        <f>72/(72+189)</f>
        <v>0.27586206896551724</v>
      </c>
      <c r="I55" s="37">
        <f>4/261</f>
        <v>1.532567049808429E-2</v>
      </c>
      <c r="J55" s="38">
        <v>0.66046511627906979</v>
      </c>
      <c r="K55" s="46"/>
      <c r="L55" s="33">
        <v>6</v>
      </c>
      <c r="M55" s="57">
        <v>6.0000000000000001E-3</v>
      </c>
      <c r="N55" s="33">
        <v>8</v>
      </c>
      <c r="R55" s="56"/>
    </row>
    <row r="56" spans="1:18" x14ac:dyDescent="0.25">
      <c r="A56" s="6">
        <v>52</v>
      </c>
      <c r="B56" s="6" t="s">
        <v>57</v>
      </c>
      <c r="C56" s="17">
        <v>10</v>
      </c>
      <c r="D56" s="22">
        <v>10</v>
      </c>
      <c r="E56" s="49">
        <v>16687086</v>
      </c>
      <c r="F56" s="11">
        <v>1532.53</v>
      </c>
      <c r="G56" s="12">
        <v>5.2999999999999999E-2</v>
      </c>
      <c r="H56" s="36">
        <f>168/(168+1442)</f>
        <v>0.10434782608695652</v>
      </c>
      <c r="I56" s="37">
        <f>78/(78+1532)</f>
        <v>4.8447204968944099E-2</v>
      </c>
      <c r="J56" s="38">
        <v>0.60818307905686542</v>
      </c>
      <c r="K56" s="46"/>
      <c r="L56" s="33">
        <v>58</v>
      </c>
      <c r="M56" s="57">
        <v>5.0000000000000001E-3</v>
      </c>
      <c r="N56" s="33">
        <v>130</v>
      </c>
      <c r="R56" s="56"/>
    </row>
    <row r="57" spans="1:18" x14ac:dyDescent="0.25">
      <c r="A57" s="6">
        <v>54</v>
      </c>
      <c r="B57" s="13" t="s">
        <v>58</v>
      </c>
      <c r="C57" s="17">
        <v>3</v>
      </c>
      <c r="D57" s="22">
        <v>0</v>
      </c>
      <c r="E57" s="49">
        <v>12359029</v>
      </c>
      <c r="F57" s="11">
        <v>456.45</v>
      </c>
      <c r="G57" s="12">
        <v>6.0000000000000001E-3</v>
      </c>
      <c r="H57" s="36">
        <f>51/(51+410)</f>
        <v>0.11062906724511931</v>
      </c>
      <c r="I57" s="37">
        <f>81/(81+380)</f>
        <v>0.175704989154013</v>
      </c>
      <c r="J57" s="38">
        <v>1</v>
      </c>
      <c r="K57" s="46"/>
      <c r="L57" s="33">
        <v>36</v>
      </c>
      <c r="M57" s="57">
        <v>6.0000000000000001E-3</v>
      </c>
      <c r="N57" s="33">
        <v>24</v>
      </c>
      <c r="R57" s="56"/>
    </row>
    <row r="58" spans="1:18" x14ac:dyDescent="0.25">
      <c r="A58" s="6"/>
      <c r="B58" s="16" t="s">
        <v>59</v>
      </c>
      <c r="C58" s="2">
        <f>SUM(C4:C57)</f>
        <v>508</v>
      </c>
      <c r="D58" s="18">
        <f>SUM(D4:D57)</f>
        <v>116</v>
      </c>
      <c r="E58" s="50">
        <v>1993322573</v>
      </c>
      <c r="F58" s="39">
        <f>SUM(F4:F57)</f>
        <v>129704.74000000002</v>
      </c>
      <c r="G58" s="40">
        <v>1E-3</v>
      </c>
      <c r="H58" s="35">
        <f>18387/(18387+114579)</f>
        <v>0.13828347096250168</v>
      </c>
      <c r="I58" s="35">
        <f>10253/(10253+122713)</f>
        <v>7.7109937878856255E-2</v>
      </c>
      <c r="J58" s="35">
        <f>53366/(53366+66793)</f>
        <v>0.44412819680589888</v>
      </c>
      <c r="K58" s="44"/>
      <c r="L58" s="41">
        <f>SUM(L4:L57)</f>
        <v>2268</v>
      </c>
      <c r="M58" s="55">
        <v>6.0000000000000001E-3</v>
      </c>
      <c r="N58" s="41">
        <f>SUM(N4:N57)</f>
        <v>8108</v>
      </c>
    </row>
    <row r="61" spans="1:18" x14ac:dyDescent="0.25">
      <c r="E61" s="51"/>
      <c r="F61" s="25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RC 2016 District Profiles</vt:lpstr>
    </vt:vector>
  </TitlesOfParts>
  <Company>DEC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Palomo</dc:creator>
  <cp:lastModifiedBy>Windows User</cp:lastModifiedBy>
  <dcterms:created xsi:type="dcterms:W3CDTF">2011-10-10T18:40:05Z</dcterms:created>
  <dcterms:modified xsi:type="dcterms:W3CDTF">2018-01-11T18:30:47Z</dcterms:modified>
</cp:coreProperties>
</file>